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fc365.sharepoint.com/sites/IRIS/Living Documents/Resource/"/>
    </mc:Choice>
  </mc:AlternateContent>
  <xr:revisionPtr revIDLastSave="297" documentId="11_F28CF38A2A9DA1764150D33E16E5022D2B206190" xr6:coauthVersionLast="47" xr6:coauthVersionMax="47" xr10:uidLastSave="{4D6ADD1B-410F-4A62-9BE5-A6A0582DDF41}"/>
  <bookViews>
    <workbookView xWindow="28680" yWindow="-120" windowWidth="29040" windowHeight="15840" xr2:uid="{00000000-000D-0000-FFFF-FFFF00000000}"/>
  </bookViews>
  <sheets>
    <sheet name="RAL Cloud" sheetId="1" r:id="rId1"/>
    <sheet name="DiRAC" sheetId="3" r:id="rId2"/>
    <sheet name="GridPP" sheetId="2" r:id="rId3"/>
    <sheet name="SCARF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F8" i="3"/>
  <c r="C8" i="3"/>
  <c r="B8" i="3"/>
  <c r="E18" i="1"/>
  <c r="G2" i="1"/>
  <c r="G3" i="1"/>
  <c r="G4" i="1"/>
  <c r="G18" i="1" s="1"/>
  <c r="G21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E10" i="3"/>
  <c r="G10" i="3" l="1"/>
  <c r="G12" i="3" s="1"/>
  <c r="C2" i="3"/>
  <c r="C4" i="3"/>
  <c r="C7" i="3"/>
  <c r="C10" i="3" l="1"/>
  <c r="C12" i="3" s="1"/>
  <c r="C2" i="1"/>
  <c r="C3" i="1"/>
  <c r="C5" i="1"/>
  <c r="C6" i="1"/>
  <c r="C7" i="1"/>
  <c r="C8" i="1"/>
  <c r="C11" i="1"/>
  <c r="C18" i="1" s="1"/>
  <c r="C21" i="1" s="1"/>
  <c r="C12" i="1"/>
  <c r="C13" i="1"/>
  <c r="C14" i="1"/>
  <c r="C15" i="1"/>
  <c r="C16" i="1"/>
  <c r="C17" i="1"/>
  <c r="B3" i="5"/>
  <c r="B6" i="5" s="1"/>
  <c r="C3" i="5"/>
  <c r="C6" i="5" s="1"/>
  <c r="D3" i="5"/>
  <c r="E3" i="5"/>
  <c r="D10" i="3" l="1"/>
  <c r="D12" i="3" s="1"/>
  <c r="F10" i="3"/>
  <c r="F12" i="3" s="1"/>
  <c r="B10" i="3"/>
  <c r="B12" i="3" s="1"/>
  <c r="C8" i="2"/>
  <c r="C11" i="2" s="1"/>
  <c r="D8" i="2"/>
  <c r="D11" i="2" s="1"/>
  <c r="B8" i="2"/>
  <c r="B11" i="2" s="1"/>
  <c r="H18" i="1"/>
  <c r="H21" i="1" s="1"/>
  <c r="F18" i="1"/>
  <c r="F21" i="1" s="1"/>
  <c r="D18" i="1"/>
  <c r="D21" i="1" s="1"/>
  <c r="B18" i="1"/>
  <c r="B21" i="1" s="1"/>
</calcChain>
</file>

<file path=xl/sharedStrings.xml><?xml version="1.0" encoding="utf-8"?>
<sst xmlns="http://schemas.openxmlformats.org/spreadsheetml/2006/main" count="124" uniqueCount="79">
  <si>
    <t>Euclid</t>
  </si>
  <si>
    <t>ISIS</t>
  </si>
  <si>
    <t>JINTRAC</t>
  </si>
  <si>
    <t>LIGO</t>
  </si>
  <si>
    <t>LSST: A</t>
  </si>
  <si>
    <t>PANOSC</t>
  </si>
  <si>
    <t>SciML</t>
  </si>
  <si>
    <t>SKAO: SDC2</t>
  </si>
  <si>
    <t>CCP4</t>
  </si>
  <si>
    <t>CLF_OCTOPUS</t>
  </si>
  <si>
    <t>CLF_RP</t>
  </si>
  <si>
    <t>Diamond</t>
  </si>
  <si>
    <t>Notes</t>
  </si>
  <si>
    <t>Note that these are explicit SCARF nodes</t>
  </si>
  <si>
    <t>Total</t>
  </si>
  <si>
    <t>DUNE</t>
  </si>
  <si>
    <t>Jlab/CLAS12</t>
  </si>
  <si>
    <t>LZ</t>
  </si>
  <si>
    <t>SOLID</t>
  </si>
  <si>
    <t>@Imperial: O3Requires access to Imperial Cloud (as currently working)</t>
  </si>
  <si>
    <t>@Imperial</t>
  </si>
  <si>
    <t>CASU</t>
  </si>
  <si>
    <t>CCFE (Non-HPC)</t>
  </si>
  <si>
    <t>CTA</t>
  </si>
  <si>
    <t>GAIA Science Platform</t>
  </si>
  <si>
    <t>Continue current working arrangement</t>
  </si>
  <si>
    <t>FY21 Allocatable Capacity</t>
  </si>
  <si>
    <t>FY21 Allocated</t>
  </si>
  <si>
    <t>CPU
(cores)</t>
  </si>
  <si>
    <t>GPU
(cards)</t>
  </si>
  <si>
    <t>Disk
(PB)</t>
  </si>
  <si>
    <t>Tape
(PB)</t>
  </si>
  <si>
    <t>This does not include HPC request which was dealt with directly by DiRAC</t>
  </si>
  <si>
    <t>Expect to burst up to ~10 cards peak usage</t>
  </si>
  <si>
    <t>GAIA core processing</t>
  </si>
  <si>
    <t>Partial allocation - full request 1,000 cores</t>
  </si>
  <si>
    <t>Partial allocation - full request 3PB tape</t>
  </si>
  <si>
    <t>partial allocation - full request 840 cores</t>
  </si>
  <si>
    <t>Partial allocation - full request 400 cores</t>
  </si>
  <si>
    <t>RSAP also wishes to allocate 3 x 1TB nodes which do not yet exist at RAL
Scaled down request for GPU by ~20% due to availability(60)</t>
  </si>
  <si>
    <t>On the assumption that A100 cards can be used for visualisation at conversion of 4 P4000 per A100.
Additional allocation made on SCARF
Scaled down request for GPU by ~20% due to availability (29)</t>
  </si>
  <si>
    <t>Expected to ask for additional resources to cover a second microscope
Scaled down request for GPU by ~20% due to availability (25)</t>
  </si>
  <si>
    <t>charles.ballard@stfc.ac.uk</t>
  </si>
  <si>
    <t>daniel.rolfe@stfc.ac.uk</t>
  </si>
  <si>
    <t>rajeev.pattathil@stfc.ac.uk</t>
  </si>
  <si>
    <t>andrew.mcnab@cern.ch</t>
  </si>
  <si>
    <t>andrew.j.richards@diamond.ac.uk</t>
  </si>
  <si>
    <t>msh@roe.ac.uk</t>
  </si>
  <si>
    <t>hannah.griffin@stfc.ac.uk</t>
  </si>
  <si>
    <t>francis.casson@ukaea.uk</t>
  </si>
  <si>
    <t>george.beckett@ed.ac.uk</t>
  </si>
  <si>
    <t>ian.johnson@stfc.ac.uk</t>
  </si>
  <si>
    <t>t.jeyan@stfc.ac.uk</t>
  </si>
  <si>
    <t>r.bolton@skatelescope.org</t>
  </si>
  <si>
    <t>antonin.vacheret@imperial.ac.uk</t>
  </si>
  <si>
    <t>bryan.mckinnon@glasgow.ac.uk</t>
  </si>
  <si>
    <t>daniela.bauer@imperial.ac.uk</t>
  </si>
  <si>
    <t>macleoddm@cardiff.ac.uk</t>
  </si>
  <si>
    <t>Antonin.vacheret@imperial.ac.uk</t>
  </si>
  <si>
    <t>naw@ast.cam.ac.uk</t>
  </si>
  <si>
    <t>Stanislas.Pamela@ukaea.uk</t>
  </si>
  <si>
    <t>rlcs1@leicester.ac.uk</t>
  </si>
  <si>
    <t>LSST capacity at Cambridge should be used in first instance for this</t>
  </si>
  <si>
    <t>Activity Lead</t>
  </si>
  <si>
    <t>Temp CPU</t>
  </si>
  <si>
    <t>Temp GPU</t>
  </si>
  <si>
    <t>Temp Disk</t>
  </si>
  <si>
    <t>DiRAC/Cambridge Allocations</t>
  </si>
  <si>
    <t>RAL Cloud Allocations</t>
  </si>
  <si>
    <t>GridPP Allocations</t>
  </si>
  <si>
    <t>SCARF Allocations</t>
  </si>
  <si>
    <t>CSD3 CPU access requested
asked about profile</t>
  </si>
  <si>
    <t xml:space="preserve">Partial allocation - full request 600 cores
</t>
  </si>
  <si>
    <t>LSST: B + C</t>
  </si>
  <si>
    <t>PLATO</t>
  </si>
  <si>
    <t>Seedcorn</t>
  </si>
  <si>
    <t>SKAO: SRCTech</t>
  </si>
  <si>
    <t>SKAO: SKATech Workflows</t>
  </si>
  <si>
    <t>SKAO: SKATech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</si>
</sst>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9" fontId="0" fillId="0" borderId="1" xfId="2" applyFont="1" applyBorder="1"/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0" fillId="0" borderId="1" xfId="1" applyNumberFormat="1" applyFont="1" applyBorder="1"/>
    <xf numFmtId="166" fontId="0" fillId="0" borderId="0" xfId="1" applyNumberFormat="1" applyFont="1" applyAlignment="1"/>
    <xf numFmtId="0" fontId="0" fillId="0" borderId="0" xfId="0" applyAlignment="1"/>
    <xf numFmtId="43" fontId="0" fillId="0" borderId="0" xfId="1" applyNumberFormat="1" applyFont="1" applyAlignment="1"/>
    <xf numFmtId="166" fontId="0" fillId="0" borderId="1" xfId="1" applyNumberFormat="1" applyFont="1" applyBorder="1" applyAlignment="1"/>
    <xf numFmtId="0" fontId="0" fillId="0" borderId="1" xfId="0" applyBorder="1" applyAlignment="1"/>
    <xf numFmtId="43" fontId="0" fillId="0" borderId="1" xfId="1" applyNumberFormat="1" applyFont="1" applyBorder="1" applyAlignment="1"/>
    <xf numFmtId="9" fontId="0" fillId="0" borderId="1" xfId="2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43" fontId="1" fillId="0" borderId="0" xfId="0" applyNumberFormat="1" applyFont="1" applyAlignment="1"/>
    <xf numFmtId="165" fontId="3" fillId="0" borderId="0" xfId="3" applyNumberFormat="1"/>
    <xf numFmtId="164" fontId="3" fillId="0" borderId="0" xfId="3" applyNumberFormat="1"/>
    <xf numFmtId="0" fontId="3" fillId="0" borderId="0" xfId="3"/>
    <xf numFmtId="166" fontId="1" fillId="0" borderId="0" xfId="0" applyNumberFormat="1" applyFont="1" applyAlignment="1"/>
    <xf numFmtId="43" fontId="0" fillId="0" borderId="0" xfId="0" applyNumberFormat="1" applyFont="1" applyAlignment="1"/>
    <xf numFmtId="43" fontId="3" fillId="0" borderId="0" xfId="3" applyNumberFormat="1" applyAlignment="1"/>
    <xf numFmtId="43" fontId="2" fillId="0" borderId="0" xfId="1" applyNumberFormat="1" applyFont="1"/>
    <xf numFmtId="43" fontId="2" fillId="0" borderId="0" xfId="1" applyNumberFormat="1" applyFont="1" applyAlignment="1">
      <alignment wrapText="1"/>
    </xf>
    <xf numFmtId="43" fontId="0" fillId="0" borderId="0" xfId="0" applyNumberFormat="1"/>
    <xf numFmtId="43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6" fontId="2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3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alignment horizontal="general" vertical="bottom" textRotation="0" wrapText="0" indent="0" justifyLastLine="0" shrinkToFit="0" readingOrder="0"/>
    </dxf>
    <dxf>
      <numFmt numFmtId="166" formatCode="_-* #,##0_-;\-* #,##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0_-;\-* #,##0.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8" totalsRowCount="1" dataDxfId="52" dataCellStyle="Comma">
  <tableColumns count="10">
    <tableColumn id="1" xr3:uid="{00000000-0010-0000-0000-000001000000}" name="RAL Cloud Allocations" totalsRowLabel="Total"/>
    <tableColumn id="2" xr3:uid="{00000000-0010-0000-0000-000002000000}" name="CPU_x000a_(cores)" totalsRowFunction="sum" dataDxfId="51" totalsRowDxfId="50" dataCellStyle="Comma"/>
    <tableColumn id="10" xr3:uid="{E4B4E733-3697-4423-8EA3-225FA05D512E}" name="Temp CPU" totalsRowFunction="sum" dataDxfId="49" totalsRowDxfId="48" dataCellStyle="Comma">
      <calculatedColumnFormula>Table1[[#This Row],[CPU
(cores)]]*0.55</calculatedColumnFormula>
    </tableColumn>
    <tableColumn id="3" xr3:uid="{00000000-0010-0000-0000-000003000000}" name="GPU_x000a_(cards)" totalsRowFunction="sum" dataDxfId="47" totalsRowDxfId="46" dataCellStyle="Comma"/>
    <tableColumn id="8" xr3:uid="{3B9A7213-A8FC-42DC-9821-B8D7B4884BD7}" name="Temp GPU" totalsRowFunction="sum" dataDxfId="45" totalsRowDxfId="44" dataCellStyle="Comma"/>
    <tableColumn id="4" xr3:uid="{00000000-0010-0000-0000-000004000000}" name="Disk_x000a_(PB)" totalsRowFunction="sum" dataDxfId="43" totalsRowDxfId="42" dataCellStyle="Comma"/>
    <tableColumn id="9" xr3:uid="{2D78C095-9855-4E4B-AA68-A99887485FB7}" name="Temp Disk" totalsRowFunction="sum" dataDxfId="41" totalsRowDxfId="40" dataCellStyle="Comma">
      <calculatedColumnFormula>Table1[[#This Row],[Disk
(PB)]]</calculatedColumnFormula>
    </tableColumn>
    <tableColumn id="5" xr3:uid="{00000000-0010-0000-0000-000005000000}" name="Tape_x000a_(PB)" totalsRowFunction="sum" dataDxfId="39" totalsRowDxfId="38" dataCellStyle="Comma"/>
    <tableColumn id="7" xr3:uid="{0B4EFA95-EFD4-46F1-B45A-314A4CB9ECE6}" name="Activity Lead" dataDxfId="37" totalsRowDxfId="36" dataCellStyle="Comma"/>
    <tableColumn id="6" xr3:uid="{00000000-0010-0000-0000-000006000000}" name="Notes" dataDxfId="35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I10" totalsRowCount="1" dataDxfId="34" dataCellStyle="Comma">
  <autoFilter ref="A1:I9" xr:uid="{00000000-0009-0000-0100-000003000000}"/>
  <tableColumns count="9">
    <tableColumn id="1" xr3:uid="{00000000-0010-0000-0200-000001000000}" name="DiRAC/Cambridge Allocations" totalsRowLabel="Total"/>
    <tableColumn id="2" xr3:uid="{00000000-0010-0000-0200-000002000000}" name="CPU_x000a_(cores)" totalsRowFunction="sum" dataDxfId="33" totalsRowDxfId="32" dataCellStyle="Comma"/>
    <tableColumn id="7" xr3:uid="{76071F2D-5211-4EC5-AD1A-F11D3CB4C932}" name="Temp CPU" totalsRowFunction="sum" dataDxfId="31" totalsRowDxfId="30" dataCellStyle="Comma">
      <calculatedColumnFormula>Table3[[#This Row],[CPU
(cores)]]*0.81</calculatedColumnFormula>
    </tableColumn>
    <tableColumn id="3" xr3:uid="{00000000-0010-0000-0200-000003000000}" name="GPU_x000a_(cards)" totalsRowFunction="sum" dataDxfId="29" totalsRowDxfId="28" dataCellStyle="Comma"/>
    <tableColumn id="8" xr3:uid="{EE4DD1A0-29C3-4699-BFFE-D8DD8D468718}" name="Temp GPU" totalsRowFunction="sum" dataDxfId="27" totalsRowDxfId="26" dataCellStyle="Comma"/>
    <tableColumn id="4" xr3:uid="{00000000-0010-0000-0200-000004000000}" name="Disk_x000a_(PB)" totalsRowFunction="sum" dataDxfId="25" totalsRowDxfId="24" dataCellStyle="Comma"/>
    <tableColumn id="9" xr3:uid="{10FFBCF2-8EB2-4E85-9684-25A9D47A45F8}" name="Temp Disk" totalsRowFunction="sum" dataDxfId="23" totalsRowDxfId="22" dataCellStyle="Comma"/>
    <tableColumn id="5" xr3:uid="{334CFB76-AC41-4132-A578-E87DA787B969}" name="Activity Lead" dataDxfId="21" totalsRowDxfId="20" dataCellStyle="Comma"/>
    <tableColumn id="6" xr3:uid="{00000000-0010-0000-0200-000006000000}" name="Notes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F8" totalsRowCount="1">
  <autoFilter ref="A1:F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GridPP Allocations" totalsRowLabel="Total"/>
    <tableColumn id="2" xr3:uid="{00000000-0010-0000-0100-000002000000}" name="CPU_x000a_(cores)" totalsRowFunction="sum" dataDxfId="19" totalsRowDxfId="18" dataCellStyle="Comma"/>
    <tableColumn id="3" xr3:uid="{00000000-0010-0000-0100-000003000000}" name="GPU_x000a_(cards)" totalsRowFunction="sum" dataDxfId="17" totalsRowDxfId="16"/>
    <tableColumn id="4" xr3:uid="{00000000-0010-0000-0100-000004000000}" name="Disk_x000a_(PB)" totalsRowFunction="sum" dataDxfId="15" totalsRowDxfId="14" dataCellStyle="Comma"/>
    <tableColumn id="5" xr3:uid="{0FB643A4-14B2-41DC-A458-7BE9872E974D}" name="Activity Lead" dataDxfId="13" totalsRowDxfId="12" dataCellStyle="Comma"/>
    <tableColumn id="6" xr3:uid="{00000000-0010-0000-0100-000006000000}" name="Notes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5" displayName="Table15" ref="A1:G3" totalsRowCount="1" dataDxfId="11" dataCellStyle="Comma">
  <autoFilter ref="A1:G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SCARF Allocations" totalsRowLabel="Total"/>
    <tableColumn id="2" xr3:uid="{00000000-0010-0000-0300-000002000000}" name="CPU_x000a_(cores)" totalsRowFunction="sum" dataDxfId="10" totalsRowDxfId="9" dataCellStyle="Comma"/>
    <tableColumn id="3" xr3:uid="{00000000-0010-0000-0300-000003000000}" name="GPU_x000a_(cards)" totalsRowFunction="sum" dataDxfId="8" totalsRowDxfId="7" dataCellStyle="Comma"/>
    <tableColumn id="4" xr3:uid="{00000000-0010-0000-0300-000004000000}" name="Disk_x000a_(PB)" totalsRowFunction="sum" dataDxfId="6" totalsRowDxfId="5" dataCellStyle="Comma"/>
    <tableColumn id="5" xr3:uid="{00000000-0010-0000-0300-000005000000}" name="Tape_x000a_(PB)" totalsRowFunction="sum" dataDxfId="4" totalsRowDxfId="3" dataCellStyle="Comma"/>
    <tableColumn id="7" xr3:uid="{24D8B2B5-0E7D-41D1-BADD-BB9EF0C07C6B}" name="Activity Lead" dataDxfId="2" totalsRowDxfId="1" dataCellStyle="Hyperlink"/>
    <tableColumn id="6" xr3:uid="{00000000-0010-0000-0300-000006000000}" name="Note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.casson@ukaea.uk" TargetMode="External"/><Relationship Id="rId13" Type="http://schemas.openxmlformats.org/officeDocument/2006/relationships/hyperlink" Target="mailto:r.bolton@skatelescope.org" TargetMode="External"/><Relationship Id="rId3" Type="http://schemas.openxmlformats.org/officeDocument/2006/relationships/hyperlink" Target="mailto:rajeev.pattathil@stfc.ac.uk" TargetMode="External"/><Relationship Id="rId7" Type="http://schemas.openxmlformats.org/officeDocument/2006/relationships/hyperlink" Target="mailto:hannah.griffin@stfc.ac.uk" TargetMode="External"/><Relationship Id="rId12" Type="http://schemas.openxmlformats.org/officeDocument/2006/relationships/hyperlink" Target="mailto:r.bolton@skatelescope.org" TargetMode="External"/><Relationship Id="rId17" Type="http://schemas.openxmlformats.org/officeDocument/2006/relationships/table" Target="../tables/table1.xml"/><Relationship Id="rId2" Type="http://schemas.openxmlformats.org/officeDocument/2006/relationships/hyperlink" Target="mailto:daniel.rolfe@stfc.ac.uk" TargetMode="External"/><Relationship Id="rId16" Type="http://schemas.openxmlformats.org/officeDocument/2006/relationships/hyperlink" Target="mailto:antonin.vacheret@imperial.ac.uk" TargetMode="External"/><Relationship Id="rId1" Type="http://schemas.openxmlformats.org/officeDocument/2006/relationships/hyperlink" Target="mailto:charles.ballard@stfc.ac.uk" TargetMode="External"/><Relationship Id="rId6" Type="http://schemas.openxmlformats.org/officeDocument/2006/relationships/hyperlink" Target="mailto:msh@roe.ac.uk" TargetMode="External"/><Relationship Id="rId11" Type="http://schemas.openxmlformats.org/officeDocument/2006/relationships/hyperlink" Target="mailto:t.jeyan@stfc.ac.uk" TargetMode="External"/><Relationship Id="rId5" Type="http://schemas.openxmlformats.org/officeDocument/2006/relationships/hyperlink" Target="mailto:andrew.j.richards@diamond.ac.uk" TargetMode="External"/><Relationship Id="rId15" Type="http://schemas.openxmlformats.org/officeDocument/2006/relationships/hyperlink" Target="mailto:r.bolton@skatelescope.org" TargetMode="External"/><Relationship Id="rId10" Type="http://schemas.openxmlformats.org/officeDocument/2006/relationships/hyperlink" Target="mailto:ian.johnson@stfc.ac.uk" TargetMode="External"/><Relationship Id="rId4" Type="http://schemas.openxmlformats.org/officeDocument/2006/relationships/hyperlink" Target="mailto:andrew.mcnab@cern.ch" TargetMode="External"/><Relationship Id="rId9" Type="http://schemas.openxmlformats.org/officeDocument/2006/relationships/hyperlink" Target="mailto:george.beckett@ed.ac.uk" TargetMode="External"/><Relationship Id="rId14" Type="http://schemas.openxmlformats.org/officeDocument/2006/relationships/hyperlink" Target="mailto:r.bolton@skatelescope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aw@ast.cam.ac.uk" TargetMode="External"/><Relationship Id="rId3" Type="http://schemas.openxmlformats.org/officeDocument/2006/relationships/hyperlink" Target="mailto:Stanislas.Pamela@ukaea.uk" TargetMode="External"/><Relationship Id="rId7" Type="http://schemas.openxmlformats.org/officeDocument/2006/relationships/hyperlink" Target="mailto:naw@ast.cam.ac.uk" TargetMode="External"/><Relationship Id="rId2" Type="http://schemas.openxmlformats.org/officeDocument/2006/relationships/hyperlink" Target="mailto:naw@ast.cam.ac.uk" TargetMode="External"/><Relationship Id="rId1" Type="http://schemas.openxmlformats.org/officeDocument/2006/relationships/hyperlink" Target="mailto:george.beckett@ed.ac.uk" TargetMode="External"/><Relationship Id="rId6" Type="http://schemas.openxmlformats.org/officeDocument/2006/relationships/hyperlink" Target="mailto:naw@ast.cam.ac.uk" TargetMode="External"/><Relationship Id="rId5" Type="http://schemas.openxmlformats.org/officeDocument/2006/relationships/hyperlink" Target="mailto:msh@roe.ac.uk" TargetMode="External"/><Relationship Id="rId4" Type="http://schemas.openxmlformats.org/officeDocument/2006/relationships/hyperlink" Target="mailto:rlcs1@leicester.ac.uk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ryan.mckinnon@glasgow.ac.uk" TargetMode="External"/><Relationship Id="rId7" Type="http://schemas.openxmlformats.org/officeDocument/2006/relationships/table" Target="../tables/table3.xml"/><Relationship Id="rId2" Type="http://schemas.openxmlformats.org/officeDocument/2006/relationships/hyperlink" Target="mailto:msh@roe.ac.uk" TargetMode="External"/><Relationship Id="rId1" Type="http://schemas.openxmlformats.org/officeDocument/2006/relationships/hyperlink" Target="mailto:andrew.mcnab@cern.ch" TargetMode="External"/><Relationship Id="rId6" Type="http://schemas.openxmlformats.org/officeDocument/2006/relationships/hyperlink" Target="mailto:Antonin.vacheret@imperial.ac.uk" TargetMode="External"/><Relationship Id="rId5" Type="http://schemas.openxmlformats.org/officeDocument/2006/relationships/hyperlink" Target="mailto:macleoddm@cardiff.ac.uk" TargetMode="External"/><Relationship Id="rId4" Type="http://schemas.openxmlformats.org/officeDocument/2006/relationships/hyperlink" Target="mailto:daniela.bauer@imperial.ac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mailto:hannah.griffin@stfc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115" zoomScaleNormal="115" workbookViewId="0">
      <selection activeCell="B1" sqref="B1:E1048576"/>
    </sheetView>
  </sheetViews>
  <sheetFormatPr defaultRowHeight="15" x14ac:dyDescent="0.25"/>
  <cols>
    <col min="1" max="1" width="28.28515625" bestFit="1" customWidth="1"/>
    <col min="2" max="2" width="8.42578125" bestFit="1" customWidth="1"/>
    <col min="3" max="3" width="10.140625" bestFit="1" customWidth="1"/>
    <col min="4" max="4" width="7" bestFit="1" customWidth="1"/>
    <col min="5" max="5" width="7.85546875" bestFit="1" customWidth="1"/>
    <col min="6" max="6" width="7.42578125" bestFit="1" customWidth="1"/>
    <col min="7" max="7" width="7.85546875" bestFit="1" customWidth="1"/>
    <col min="8" max="8" width="5.5703125" bestFit="1" customWidth="1"/>
    <col min="9" max="9" width="33.42578125" bestFit="1" customWidth="1"/>
    <col min="10" max="10" width="89.85546875" bestFit="1" customWidth="1"/>
  </cols>
  <sheetData>
    <row r="1" spans="1:10" ht="30" x14ac:dyDescent="0.25">
      <c r="A1" t="s">
        <v>68</v>
      </c>
      <c r="B1" s="5" t="s">
        <v>28</v>
      </c>
      <c r="C1" t="s">
        <v>64</v>
      </c>
      <c r="D1" s="5" t="s">
        <v>29</v>
      </c>
      <c r="E1" s="5" t="s">
        <v>65</v>
      </c>
      <c r="F1" s="5" t="s">
        <v>30</v>
      </c>
      <c r="G1" s="5" t="s">
        <v>66</v>
      </c>
      <c r="H1" s="5" t="s">
        <v>31</v>
      </c>
      <c r="I1" s="5" t="s">
        <v>63</v>
      </c>
      <c r="J1" t="s">
        <v>12</v>
      </c>
    </row>
    <row r="2" spans="1:10" x14ac:dyDescent="0.25">
      <c r="A2" t="s">
        <v>8</v>
      </c>
      <c r="B2" s="3">
        <v>400</v>
      </c>
      <c r="C2" s="29">
        <f>Table1[[#This Row],[CPU
(cores)]]*0.55</f>
        <v>220.00000000000003</v>
      </c>
      <c r="D2" s="3">
        <v>0</v>
      </c>
      <c r="E2" s="3">
        <v>0</v>
      </c>
      <c r="F2" s="1">
        <v>8.0000000000000002E-3</v>
      </c>
      <c r="G2" s="1">
        <f>Table1[[#This Row],[Disk
(PB)]]</f>
        <v>8.0000000000000002E-3</v>
      </c>
      <c r="H2" s="2">
        <v>0</v>
      </c>
      <c r="I2" s="23" t="s">
        <v>42</v>
      </c>
      <c r="J2" s="4"/>
    </row>
    <row r="3" spans="1:10" ht="30" x14ac:dyDescent="0.25">
      <c r="A3" t="s">
        <v>9</v>
      </c>
      <c r="B3" s="3">
        <v>1800</v>
      </c>
      <c r="C3" s="30">
        <f>Table1[[#This Row],[CPU
(cores)]]*0.55</f>
        <v>990.00000000000011</v>
      </c>
      <c r="D3" s="3">
        <v>18</v>
      </c>
      <c r="E3" s="3">
        <v>0</v>
      </c>
      <c r="F3" s="1">
        <v>0.6</v>
      </c>
      <c r="G3" s="1">
        <f>Table1[[#This Row],[Disk
(PB)]]</f>
        <v>0.6</v>
      </c>
      <c r="H3" s="2">
        <v>1</v>
      </c>
      <c r="I3" s="23" t="s">
        <v>43</v>
      </c>
      <c r="J3" s="21" t="s">
        <v>41</v>
      </c>
    </row>
    <row r="4" spans="1:10" x14ac:dyDescent="0.25">
      <c r="A4" t="s">
        <v>10</v>
      </c>
      <c r="B4" s="3">
        <v>200</v>
      </c>
      <c r="C4" s="29">
        <v>200</v>
      </c>
      <c r="D4" s="3">
        <v>1</v>
      </c>
      <c r="E4" s="3">
        <v>0</v>
      </c>
      <c r="F4" s="1">
        <v>5.0000000000000001E-3</v>
      </c>
      <c r="G4" s="1">
        <f>Table1[[#This Row],[Disk
(PB)]]</f>
        <v>5.0000000000000001E-3</v>
      </c>
      <c r="H4" s="2">
        <v>0</v>
      </c>
      <c r="I4" s="23" t="s">
        <v>44</v>
      </c>
      <c r="J4" s="4"/>
    </row>
    <row r="5" spans="1:10" x14ac:dyDescent="0.25">
      <c r="A5" t="s">
        <v>15</v>
      </c>
      <c r="B5" s="3">
        <v>0</v>
      </c>
      <c r="C5" s="29">
        <f>Table1[[#This Row],[CPU
(cores)]]*0.55</f>
        <v>0</v>
      </c>
      <c r="D5" s="3">
        <v>0</v>
      </c>
      <c r="E5" s="3">
        <v>0</v>
      </c>
      <c r="F5" s="1">
        <v>0</v>
      </c>
      <c r="G5" s="1">
        <f>Table1[[#This Row],[Disk
(PB)]]</f>
        <v>0</v>
      </c>
      <c r="H5" s="2">
        <v>1.5</v>
      </c>
      <c r="I5" s="23" t="s">
        <v>45</v>
      </c>
      <c r="J5" s="4" t="s">
        <v>36</v>
      </c>
    </row>
    <row r="6" spans="1:10" ht="30" x14ac:dyDescent="0.25">
      <c r="A6" t="s">
        <v>11</v>
      </c>
      <c r="B6" s="3">
        <v>6000</v>
      </c>
      <c r="C6" s="30">
        <f>Table1[[#This Row],[CPU
(cores)]]*0.55</f>
        <v>3300.0000000000005</v>
      </c>
      <c r="D6" s="3">
        <v>44</v>
      </c>
      <c r="E6" s="3">
        <v>0</v>
      </c>
      <c r="F6" s="1">
        <v>2</v>
      </c>
      <c r="G6" s="1">
        <f>Table1[[#This Row],[Disk
(PB)]]</f>
        <v>2</v>
      </c>
      <c r="H6" s="2">
        <v>0</v>
      </c>
      <c r="I6" s="23" t="s">
        <v>46</v>
      </c>
      <c r="J6" s="21" t="s">
        <v>39</v>
      </c>
    </row>
    <row r="7" spans="1:10" x14ac:dyDescent="0.25">
      <c r="A7" t="s">
        <v>0</v>
      </c>
      <c r="B7" s="3">
        <v>1000</v>
      </c>
      <c r="C7" s="29">
        <f>Table1[[#This Row],[CPU
(cores)]]*0.55</f>
        <v>550</v>
      </c>
      <c r="D7" s="3">
        <v>0</v>
      </c>
      <c r="E7" s="3">
        <v>0</v>
      </c>
      <c r="F7" s="1">
        <v>0.1</v>
      </c>
      <c r="G7" s="1">
        <f>Table1[[#This Row],[Disk
(PB)]]</f>
        <v>0.1</v>
      </c>
      <c r="H7" s="2">
        <v>0</v>
      </c>
      <c r="I7" s="23" t="s">
        <v>47</v>
      </c>
      <c r="J7" s="4"/>
    </row>
    <row r="8" spans="1:10" ht="45" x14ac:dyDescent="0.25">
      <c r="A8" t="s">
        <v>1</v>
      </c>
      <c r="B8" s="3">
        <v>1774</v>
      </c>
      <c r="C8" s="30">
        <f>Table1[[#This Row],[CPU
(cores)]]*0.55</f>
        <v>975.7</v>
      </c>
      <c r="D8" s="3">
        <v>21</v>
      </c>
      <c r="E8" s="3">
        <v>0</v>
      </c>
      <c r="F8" s="1">
        <v>1</v>
      </c>
      <c r="G8" s="1">
        <f>Table1[[#This Row],[Disk
(PB)]]</f>
        <v>1</v>
      </c>
      <c r="H8" s="2">
        <v>0</v>
      </c>
      <c r="I8" s="23" t="s">
        <v>48</v>
      </c>
      <c r="J8" s="21" t="s">
        <v>40</v>
      </c>
    </row>
    <row r="9" spans="1:10" x14ac:dyDescent="0.25">
      <c r="A9" t="s">
        <v>2</v>
      </c>
      <c r="B9" s="3">
        <v>400</v>
      </c>
      <c r="C9" s="29">
        <v>100</v>
      </c>
      <c r="D9" s="3">
        <v>0</v>
      </c>
      <c r="E9" s="3">
        <v>0</v>
      </c>
      <c r="F9" s="1">
        <v>1E-3</v>
      </c>
      <c r="G9" s="1">
        <f>Table1[[#This Row],[Disk
(PB)]]</f>
        <v>1E-3</v>
      </c>
      <c r="H9" s="2">
        <v>0</v>
      </c>
      <c r="I9" s="23" t="s">
        <v>49</v>
      </c>
      <c r="J9" s="4" t="s">
        <v>38</v>
      </c>
    </row>
    <row r="10" spans="1:10" x14ac:dyDescent="0.25">
      <c r="A10" t="s">
        <v>4</v>
      </c>
      <c r="B10" s="3">
        <v>50</v>
      </c>
      <c r="C10" s="29">
        <v>50</v>
      </c>
      <c r="D10" s="3">
        <v>0</v>
      </c>
      <c r="E10" s="3">
        <v>0</v>
      </c>
      <c r="F10" s="1">
        <v>0.05</v>
      </c>
      <c r="G10" s="1">
        <f>Table1[[#This Row],[Disk
(PB)]]</f>
        <v>0.05</v>
      </c>
      <c r="H10" s="2">
        <v>0</v>
      </c>
      <c r="I10" s="23" t="s">
        <v>50</v>
      </c>
      <c r="J10" s="4"/>
    </row>
    <row r="11" spans="1:10" x14ac:dyDescent="0.25">
      <c r="A11" t="s">
        <v>5</v>
      </c>
      <c r="B11" s="3">
        <v>0</v>
      </c>
      <c r="C11" s="29">
        <f>Table1[[#This Row],[CPU
(cores)]]*0.55</f>
        <v>0</v>
      </c>
      <c r="D11" s="3">
        <v>0</v>
      </c>
      <c r="E11" s="3">
        <v>0</v>
      </c>
      <c r="F11" s="1">
        <v>2</v>
      </c>
      <c r="G11" s="1">
        <f>Table1[[#This Row],[Disk
(PB)]]</f>
        <v>2</v>
      </c>
      <c r="H11" s="2">
        <v>0</v>
      </c>
      <c r="I11" s="23" t="s">
        <v>51</v>
      </c>
      <c r="J11" s="4"/>
    </row>
    <row r="12" spans="1:10" x14ac:dyDescent="0.25">
      <c r="A12" t="s">
        <v>6</v>
      </c>
      <c r="B12" s="3">
        <v>0</v>
      </c>
      <c r="C12" s="29">
        <f>Table1[[#This Row],[CPU
(cores)]]*0.55</f>
        <v>0</v>
      </c>
      <c r="D12" s="3">
        <v>10</v>
      </c>
      <c r="E12" s="3">
        <v>0</v>
      </c>
      <c r="F12" s="1">
        <v>0.15</v>
      </c>
      <c r="G12" s="1">
        <f>Table1[[#This Row],[Disk
(PB)]]</f>
        <v>0.15</v>
      </c>
      <c r="H12" s="2">
        <v>0</v>
      </c>
      <c r="I12" s="23" t="s">
        <v>52</v>
      </c>
      <c r="J12" s="4"/>
    </row>
    <row r="13" spans="1:10" x14ac:dyDescent="0.25">
      <c r="A13" t="s">
        <v>76</v>
      </c>
      <c r="B13" s="3">
        <v>700</v>
      </c>
      <c r="C13" s="29">
        <f>Table1[[#This Row],[CPU
(cores)]]*0.55</f>
        <v>385.00000000000006</v>
      </c>
      <c r="D13" s="3">
        <v>0</v>
      </c>
      <c r="E13" s="3">
        <v>0</v>
      </c>
      <c r="F13" s="1">
        <v>3.5000000000000003E-2</v>
      </c>
      <c r="G13" s="1">
        <f>Table1[[#This Row],[Disk
(PB)]]</f>
        <v>3.5000000000000003E-2</v>
      </c>
      <c r="H13" s="2">
        <v>0</v>
      </c>
      <c r="I13" s="23" t="s">
        <v>53</v>
      </c>
      <c r="J13" s="4"/>
    </row>
    <row r="14" spans="1:10" x14ac:dyDescent="0.25">
      <c r="A14" t="s">
        <v>7</v>
      </c>
      <c r="B14" s="3">
        <v>300</v>
      </c>
      <c r="C14" s="29">
        <f>Table1[[#This Row],[CPU
(cores)]]*0.55</f>
        <v>165</v>
      </c>
      <c r="D14" s="3">
        <v>0</v>
      </c>
      <c r="E14" s="3">
        <v>0</v>
      </c>
      <c r="F14" s="1">
        <v>3.5000000000000003E-2</v>
      </c>
      <c r="G14" s="1">
        <f>Table1[[#This Row],[Disk
(PB)]]</f>
        <v>3.5000000000000003E-2</v>
      </c>
      <c r="H14" s="2">
        <v>0</v>
      </c>
      <c r="I14" s="23" t="s">
        <v>53</v>
      </c>
      <c r="J14" s="4"/>
    </row>
    <row r="15" spans="1:10" x14ac:dyDescent="0.25">
      <c r="A15" t="s">
        <v>77</v>
      </c>
      <c r="B15" s="3">
        <v>320</v>
      </c>
      <c r="C15" s="29">
        <f>Table1[[#This Row],[CPU
(cores)]]*0.55</f>
        <v>176</v>
      </c>
      <c r="D15" s="3">
        <v>10</v>
      </c>
      <c r="E15" s="3">
        <v>0</v>
      </c>
      <c r="F15" s="1">
        <v>1.4999999999999999E-2</v>
      </c>
      <c r="G15" s="1">
        <f>Table1[[#This Row],[Disk
(PB)]]</f>
        <v>1.4999999999999999E-2</v>
      </c>
      <c r="H15" s="2">
        <v>0</v>
      </c>
      <c r="I15" s="23" t="s">
        <v>53</v>
      </c>
      <c r="J15" s="4"/>
    </row>
    <row r="16" spans="1:10" x14ac:dyDescent="0.25">
      <c r="A16" t="s">
        <v>78</v>
      </c>
      <c r="B16" s="3">
        <v>700</v>
      </c>
      <c r="C16" s="29">
        <f>Table1[[#This Row],[CPU
(cores)]]*0.55</f>
        <v>385.00000000000006</v>
      </c>
      <c r="D16" s="3">
        <v>2</v>
      </c>
      <c r="E16" s="3">
        <v>0</v>
      </c>
      <c r="F16" s="1">
        <v>7.4999999999999997E-2</v>
      </c>
      <c r="G16" s="1">
        <f>Table1[[#This Row],[Disk
(PB)]]</f>
        <v>7.4999999999999997E-2</v>
      </c>
      <c r="H16" s="2">
        <v>0</v>
      </c>
      <c r="I16" s="23" t="s">
        <v>53</v>
      </c>
      <c r="J16" s="4"/>
    </row>
    <row r="17" spans="1:10" x14ac:dyDescent="0.25">
      <c r="A17" t="s">
        <v>18</v>
      </c>
      <c r="B17">
        <v>0</v>
      </c>
      <c r="C17" s="29">
        <f>Table1[[#This Row],[CPU
(cores)]]*0.55</f>
        <v>0</v>
      </c>
      <c r="D17">
        <v>0</v>
      </c>
      <c r="E17" s="3">
        <v>0</v>
      </c>
      <c r="F17">
        <v>0</v>
      </c>
      <c r="G17" s="34">
        <f>Table1[[#This Row],[Disk
(PB)]]</f>
        <v>0</v>
      </c>
      <c r="H17">
        <v>0.25</v>
      </c>
      <c r="I17" s="25" t="s">
        <v>54</v>
      </c>
      <c r="J17" s="4"/>
    </row>
    <row r="18" spans="1:10" x14ac:dyDescent="0.25">
      <c r="A18" t="s">
        <v>14</v>
      </c>
      <c r="B18" s="8">
        <f>SUBTOTAL(109,Table1[CPU
(cores)])</f>
        <v>13644</v>
      </c>
      <c r="C18" s="31">
        <f>SUBTOTAL(109,Table1[Temp CPU])</f>
        <v>7496.7000000000007</v>
      </c>
      <c r="D18" s="8">
        <f>SUBTOTAL(109,Table1[GPU
(cards)])</f>
        <v>106</v>
      </c>
      <c r="E18" s="8">
        <f>SUBTOTAL(109,Table1[Temp GPU])</f>
        <v>0</v>
      </c>
      <c r="F18" s="9">
        <f>SUBTOTAL(109,Table1[Disk
(PB)])</f>
        <v>6.0739999999999998</v>
      </c>
      <c r="G18" s="9">
        <f>SUBTOTAL(109,Table1[Temp Disk])</f>
        <v>6.0739999999999998</v>
      </c>
      <c r="H18" s="10">
        <f>SUBTOTAL(109,Table1[Tape
(PB)])</f>
        <v>2.75</v>
      </c>
      <c r="I18" s="10"/>
    </row>
    <row r="20" spans="1:10" x14ac:dyDescent="0.25">
      <c r="A20" s="6" t="s">
        <v>26</v>
      </c>
      <c r="B20" s="11">
        <v>13403</v>
      </c>
      <c r="C20" s="11">
        <v>7373</v>
      </c>
      <c r="D20" s="11">
        <v>106</v>
      </c>
      <c r="E20" s="11">
        <v>0</v>
      </c>
      <c r="F20" s="6">
        <v>7.6449999999999996</v>
      </c>
      <c r="G20" s="6">
        <v>5.9809999999999999</v>
      </c>
      <c r="H20" s="6">
        <v>12</v>
      </c>
      <c r="I20" s="6"/>
      <c r="J20" s="6"/>
    </row>
    <row r="21" spans="1:10" x14ac:dyDescent="0.25">
      <c r="A21" s="6" t="s">
        <v>27</v>
      </c>
      <c r="B21" s="7">
        <f>Table1[[#Totals],[CPU
(cores)]]/B20</f>
        <v>1.0179810490188763</v>
      </c>
      <c r="C21" s="7">
        <f>Table1[[#Totals],[Temp CPU]]/C20</f>
        <v>1.0167774311677744</v>
      </c>
      <c r="D21" s="7">
        <f>Table1[[#Totals],[GPU
(cards)]]/D20</f>
        <v>1</v>
      </c>
      <c r="E21" s="7"/>
      <c r="F21" s="7">
        <f>Table1[[#Totals],[Disk
(PB)]]/F20</f>
        <v>0.79450621321124926</v>
      </c>
      <c r="G21" s="7">
        <f>Table1[[#Totals],[Temp Disk]]/G20</f>
        <v>1.0155492392576493</v>
      </c>
      <c r="H21" s="7">
        <f>Table1[[#Totals],[Tape
(PB)]]/H20</f>
        <v>0.22916666666666666</v>
      </c>
      <c r="I21" s="7"/>
      <c r="J21" s="6"/>
    </row>
  </sheetData>
  <phoneticPr fontId="4" type="noConversion"/>
  <hyperlinks>
    <hyperlink ref="I2" r:id="rId1" xr:uid="{07584E3F-3A71-4F94-BBCF-690D3EE2A7D9}"/>
    <hyperlink ref="I3" r:id="rId2" xr:uid="{E41F462A-A325-488A-9582-003316B016E8}"/>
    <hyperlink ref="I4" r:id="rId3" xr:uid="{6C161271-A497-45F3-9A1B-4F50398221A1}"/>
    <hyperlink ref="I5" r:id="rId4" xr:uid="{C9B3D016-B47F-44E8-840E-D54356543612}"/>
    <hyperlink ref="I6" r:id="rId5" xr:uid="{20C36211-1969-42A8-B9D4-2536C77C03BC}"/>
    <hyperlink ref="I7" r:id="rId6" xr:uid="{BEC3F776-9B8C-4D43-BE7C-8400FFA07B0F}"/>
    <hyperlink ref="I8" r:id="rId7" xr:uid="{A311A035-3301-4674-8161-7567B927EAF2}"/>
    <hyperlink ref="I9" r:id="rId8" xr:uid="{5B4A34B7-5584-40EB-ADED-BD1842EEA0B8}"/>
    <hyperlink ref="I10" r:id="rId9" xr:uid="{E51C2E52-9FE8-40CC-9B1B-704905847CAB}"/>
    <hyperlink ref="I11" r:id="rId10" xr:uid="{16CC2FA3-2198-49A3-B519-1030E9939072}"/>
    <hyperlink ref="I12" r:id="rId11" xr:uid="{15025246-2F5F-4346-9376-70DCCA8EB770}"/>
    <hyperlink ref="I13" r:id="rId12" xr:uid="{109FB6BC-031A-4252-8436-1E5C69A7B035}"/>
    <hyperlink ref="I14" r:id="rId13" xr:uid="{17BC577A-1554-483A-92E5-7F1F490310C5}"/>
    <hyperlink ref="I15" r:id="rId14" xr:uid="{0A04D42E-A487-45E2-8CEA-425DB38C91A2}"/>
    <hyperlink ref="I16" r:id="rId15" xr:uid="{B732AB33-9FF5-4D34-8ABE-B00C68780CA5}"/>
    <hyperlink ref="I17" r:id="rId16" xr:uid="{392EC747-3393-4C4B-9BD5-1CD6D9C281FD}"/>
  </hyperlinks>
  <pageMargins left="0.7" right="0.7" top="0.75" bottom="0.75" header="0.3" footer="0.3"/>
  <tableParts count="1"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="130" zoomScaleNormal="130" workbookViewId="0">
      <selection activeCell="F10" sqref="F10"/>
    </sheetView>
  </sheetViews>
  <sheetFormatPr defaultRowHeight="15" x14ac:dyDescent="0.25"/>
  <cols>
    <col min="1" max="1" width="30.5703125" bestFit="1" customWidth="1"/>
    <col min="2" max="2" width="9.5703125" bestFit="1" customWidth="1"/>
    <col min="3" max="3" width="13.140625" bestFit="1" customWidth="1"/>
    <col min="4" max="4" width="9.5703125" bestFit="1" customWidth="1"/>
    <col min="5" max="5" width="9.5703125" customWidth="1"/>
    <col min="6" max="6" width="7.5703125" bestFit="1" customWidth="1"/>
    <col min="7" max="7" width="7.5703125" customWidth="1"/>
    <col min="8" max="8" width="27.7109375" bestFit="1" customWidth="1"/>
    <col min="9" max="9" width="67.5703125" bestFit="1" customWidth="1"/>
  </cols>
  <sheetData>
    <row r="1" spans="1:9" ht="30" x14ac:dyDescent="0.25">
      <c r="A1" s="19" t="s">
        <v>67</v>
      </c>
      <c r="B1" s="20" t="s">
        <v>28</v>
      </c>
      <c r="C1" t="s">
        <v>64</v>
      </c>
      <c r="D1" s="20" t="s">
        <v>29</v>
      </c>
      <c r="E1" s="20" t="s">
        <v>65</v>
      </c>
      <c r="F1" s="20" t="s">
        <v>30</v>
      </c>
      <c r="G1" s="20" t="s">
        <v>66</v>
      </c>
      <c r="H1" s="20" t="s">
        <v>63</v>
      </c>
      <c r="I1" t="s">
        <v>12</v>
      </c>
    </row>
    <row r="2" spans="1:9" ht="30" x14ac:dyDescent="0.25">
      <c r="A2" t="s">
        <v>21</v>
      </c>
      <c r="B2" s="3">
        <v>780</v>
      </c>
      <c r="C2" s="30">
        <f>Table3[[#This Row],[CPU
(cores)]]*0.81</f>
        <v>631.80000000000007</v>
      </c>
      <c r="D2" s="3">
        <v>8</v>
      </c>
      <c r="E2" s="3">
        <v>0</v>
      </c>
      <c r="F2" s="1">
        <v>1.5</v>
      </c>
      <c r="G2" s="1">
        <v>0.53</v>
      </c>
      <c r="H2" s="24" t="s">
        <v>59</v>
      </c>
      <c r="I2" s="5" t="s">
        <v>71</v>
      </c>
    </row>
    <row r="3" spans="1:9" x14ac:dyDescent="0.25">
      <c r="A3" t="s">
        <v>22</v>
      </c>
      <c r="B3" s="3">
        <v>450</v>
      </c>
      <c r="C3" s="30">
        <v>450</v>
      </c>
      <c r="D3" s="3">
        <v>0</v>
      </c>
      <c r="E3" s="3">
        <v>0</v>
      </c>
      <c r="F3" s="1">
        <v>5.0000000000000001E-3</v>
      </c>
      <c r="G3" s="1">
        <v>5.0000000000000001E-3</v>
      </c>
      <c r="H3" s="24" t="s">
        <v>60</v>
      </c>
      <c r="I3" s="5" t="s">
        <v>32</v>
      </c>
    </row>
    <row r="4" spans="1:9" x14ac:dyDescent="0.25">
      <c r="A4" t="s">
        <v>23</v>
      </c>
      <c r="B4" s="3">
        <v>0</v>
      </c>
      <c r="C4" s="29">
        <f>Table3[[#This Row],[CPU
(cores)]]*0.81</f>
        <v>0</v>
      </c>
      <c r="D4" s="3">
        <v>2</v>
      </c>
      <c r="E4" s="3">
        <v>0</v>
      </c>
      <c r="F4" s="1">
        <v>0.03</v>
      </c>
      <c r="G4" s="1">
        <v>0.03</v>
      </c>
      <c r="H4" s="24" t="s">
        <v>61</v>
      </c>
      <c r="I4" t="s">
        <v>33</v>
      </c>
    </row>
    <row r="5" spans="1:9" x14ac:dyDescent="0.25">
      <c r="A5" t="s">
        <v>0</v>
      </c>
      <c r="B5" s="3">
        <v>3000</v>
      </c>
      <c r="C5" s="29">
        <v>2200</v>
      </c>
      <c r="D5" s="3">
        <v>1</v>
      </c>
      <c r="E5" s="3">
        <v>0</v>
      </c>
      <c r="F5" s="1">
        <v>0.1</v>
      </c>
      <c r="G5" s="1">
        <v>0.1</v>
      </c>
      <c r="H5" s="24" t="s">
        <v>47</v>
      </c>
      <c r="I5" t="s">
        <v>25</v>
      </c>
    </row>
    <row r="6" spans="1:9" ht="30" x14ac:dyDescent="0.25">
      <c r="A6" t="s">
        <v>34</v>
      </c>
      <c r="B6" s="3">
        <v>300</v>
      </c>
      <c r="C6" s="29">
        <v>300</v>
      </c>
      <c r="D6" s="3">
        <v>0</v>
      </c>
      <c r="E6" s="3">
        <v>0</v>
      </c>
      <c r="F6" s="1">
        <v>0.4</v>
      </c>
      <c r="G6" s="1">
        <v>0.2</v>
      </c>
      <c r="H6" s="24" t="s">
        <v>59</v>
      </c>
      <c r="I6" s="5" t="s">
        <v>72</v>
      </c>
    </row>
    <row r="7" spans="1:9" x14ac:dyDescent="0.25">
      <c r="A7" t="s">
        <v>24</v>
      </c>
      <c r="B7" s="3">
        <v>600</v>
      </c>
      <c r="C7" s="29">
        <f>Table3[[#This Row],[CPU
(cores)]]*0.81</f>
        <v>486.00000000000006</v>
      </c>
      <c r="D7" s="3">
        <v>0</v>
      </c>
      <c r="E7" s="3">
        <v>0</v>
      </c>
      <c r="F7" s="1">
        <v>0.14399999999999999</v>
      </c>
      <c r="G7" s="1">
        <v>0.14399999999999999</v>
      </c>
      <c r="H7" s="24" t="s">
        <v>59</v>
      </c>
    </row>
    <row r="8" spans="1:9" x14ac:dyDescent="0.25">
      <c r="A8" t="s">
        <v>73</v>
      </c>
      <c r="B8" s="3">
        <f>228+115</f>
        <v>343</v>
      </c>
      <c r="C8" s="29">
        <f>228+115</f>
        <v>343</v>
      </c>
      <c r="D8" s="3">
        <v>0</v>
      </c>
      <c r="E8" s="3">
        <v>0</v>
      </c>
      <c r="F8" s="1">
        <f>0.3+0.5</f>
        <v>0.8</v>
      </c>
      <c r="G8" s="1">
        <v>0.4</v>
      </c>
      <c r="H8" s="24" t="s">
        <v>50</v>
      </c>
      <c r="I8" t="s">
        <v>62</v>
      </c>
    </row>
    <row r="9" spans="1:9" x14ac:dyDescent="0.25">
      <c r="A9" t="s">
        <v>74</v>
      </c>
      <c r="B9" s="35">
        <v>200</v>
      </c>
      <c r="C9" s="29">
        <f>Table3[[#This Row],[CPU
(cores)]]*0.81</f>
        <v>162</v>
      </c>
      <c r="D9" s="35"/>
      <c r="E9" s="3"/>
      <c r="F9" s="33">
        <v>0.1</v>
      </c>
      <c r="G9" s="1"/>
      <c r="H9" s="24" t="s">
        <v>59</v>
      </c>
      <c r="I9" t="s">
        <v>75</v>
      </c>
    </row>
    <row r="10" spans="1:9" x14ac:dyDescent="0.25">
      <c r="A10" t="s">
        <v>14</v>
      </c>
      <c r="B10" s="8">
        <f>SUBTOTAL(109,Table3[CPU
(cores)])</f>
        <v>5673</v>
      </c>
      <c r="C10" s="32">
        <f>SUBTOTAL(109,Table3[Temp CPU])</f>
        <v>4572.8</v>
      </c>
      <c r="D10" s="8">
        <f>SUBTOTAL(109,Table3[GPU
(cards)])</f>
        <v>11</v>
      </c>
      <c r="E10" s="8">
        <f>SUBTOTAL(109,Table3[Temp GPU])</f>
        <v>0</v>
      </c>
      <c r="F10" s="9">
        <f>SUBTOTAL(109,Table3[Disk
(PB)])</f>
        <v>3.0790000000000002</v>
      </c>
      <c r="G10" s="9">
        <f>SUBTOTAL(109,Table3[Temp Disk])</f>
        <v>1.4089999999999998</v>
      </c>
      <c r="H10" s="8"/>
    </row>
    <row r="11" spans="1:9" x14ac:dyDescent="0.25">
      <c r="A11" s="6" t="s">
        <v>26</v>
      </c>
      <c r="B11" s="6">
        <v>5458</v>
      </c>
      <c r="C11" s="6">
        <v>4468</v>
      </c>
      <c r="D11" s="6">
        <v>120</v>
      </c>
      <c r="E11" s="6">
        <v>0</v>
      </c>
      <c r="F11" s="6">
        <v>1.411</v>
      </c>
      <c r="G11" s="6">
        <v>1.411</v>
      </c>
      <c r="H11" s="6"/>
      <c r="I11" s="6"/>
    </row>
    <row r="12" spans="1:9" x14ac:dyDescent="0.25">
      <c r="A12" s="6" t="s">
        <v>27</v>
      </c>
      <c r="B12" s="7">
        <f>Table3[[#Totals],[CPU
(cores)]]/B11</f>
        <v>1.0393917185782338</v>
      </c>
      <c r="C12" s="7">
        <f>Table3[[#Totals],[Temp CPU]]/C11</f>
        <v>1.0234556848701881</v>
      </c>
      <c r="D12" s="7">
        <f>Table3[[#Totals],[GPU
(cards)]]/D11</f>
        <v>9.166666666666666E-2</v>
      </c>
      <c r="E12" s="7"/>
      <c r="F12" s="7">
        <f>Table3[[#Totals],[Disk
(PB)]]/F11</f>
        <v>2.1821403260099221</v>
      </c>
      <c r="G12" s="7">
        <f>Table3[[#Totals],[Temp Disk]]/G11</f>
        <v>0.99858256555634284</v>
      </c>
      <c r="H12" s="7"/>
      <c r="I12" s="6"/>
    </row>
  </sheetData>
  <hyperlinks>
    <hyperlink ref="H8" r:id="rId1" xr:uid="{8F9E014F-E3DF-46E0-AAC6-36F01DDFEB27}"/>
    <hyperlink ref="H2" r:id="rId2" xr:uid="{93A27FA6-EC21-4794-86C6-140F9C0D0504}"/>
    <hyperlink ref="H3" r:id="rId3" xr:uid="{CDD04B82-FB91-4DF5-91D9-262D26EEA21F}"/>
    <hyperlink ref="H4" r:id="rId4" xr:uid="{D94D63B7-0086-4E10-812D-772BE58ECC40}"/>
    <hyperlink ref="H5" r:id="rId5" xr:uid="{19E4A1FD-B495-403B-A064-37B93C820EAC}"/>
    <hyperlink ref="H6" r:id="rId6" xr:uid="{EFDA4B19-069F-435E-844A-A4C923784E0E}"/>
    <hyperlink ref="H7" r:id="rId7" xr:uid="{46908D50-F61D-4E74-BABC-A757B67CEDDE}"/>
    <hyperlink ref="H9" r:id="rId8" xr:uid="{99AF9D50-A186-480C-80C9-E34FF0007213}"/>
  </hyperlinks>
  <pageMargins left="0.7" right="0.7" top="0.75" bottom="0.75" header="0.3" footer="0.3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zoomScale="145" zoomScaleNormal="145" workbookViewId="0">
      <selection sqref="A1:D5"/>
    </sheetView>
  </sheetViews>
  <sheetFormatPr defaultRowHeight="15" x14ac:dyDescent="0.25"/>
  <cols>
    <col min="1" max="1" width="26.7109375" customWidth="1"/>
    <col min="2" max="4" width="10.140625" customWidth="1"/>
    <col min="5" max="5" width="31.5703125" bestFit="1" customWidth="1"/>
    <col min="6" max="6" width="67.28515625" customWidth="1"/>
  </cols>
  <sheetData>
    <row r="1" spans="1:6" ht="30" x14ac:dyDescent="0.25">
      <c r="A1" t="s">
        <v>69</v>
      </c>
      <c r="B1" s="5" t="s">
        <v>28</v>
      </c>
      <c r="C1" s="5" t="s">
        <v>29</v>
      </c>
      <c r="D1" s="5" t="s">
        <v>30</v>
      </c>
      <c r="E1" s="5" t="s">
        <v>63</v>
      </c>
      <c r="F1" t="s">
        <v>12</v>
      </c>
    </row>
    <row r="2" spans="1:6" x14ac:dyDescent="0.25">
      <c r="A2" t="s">
        <v>15</v>
      </c>
      <c r="B2" s="12">
        <v>500</v>
      </c>
      <c r="C2" s="13">
        <v>0</v>
      </c>
      <c r="D2" s="14">
        <v>4</v>
      </c>
      <c r="E2" s="23" t="s">
        <v>45</v>
      </c>
      <c r="F2" t="s">
        <v>35</v>
      </c>
    </row>
    <row r="3" spans="1:6" x14ac:dyDescent="0.25">
      <c r="A3" t="s">
        <v>0</v>
      </c>
      <c r="B3" s="12">
        <v>1500</v>
      </c>
      <c r="C3" s="13">
        <v>0</v>
      </c>
      <c r="D3" s="14">
        <v>0.1</v>
      </c>
      <c r="E3" s="28" t="s">
        <v>47</v>
      </c>
      <c r="F3" t="s">
        <v>19</v>
      </c>
    </row>
    <row r="4" spans="1:6" x14ac:dyDescent="0.25">
      <c r="A4" t="s">
        <v>16</v>
      </c>
      <c r="B4" s="12">
        <v>420</v>
      </c>
      <c r="C4" s="13">
        <v>0</v>
      </c>
      <c r="D4" s="14">
        <v>0</v>
      </c>
      <c r="E4" s="28" t="s">
        <v>55</v>
      </c>
      <c r="F4" t="s">
        <v>37</v>
      </c>
    </row>
    <row r="5" spans="1:6" x14ac:dyDescent="0.25">
      <c r="A5" t="s">
        <v>17</v>
      </c>
      <c r="B5" s="12">
        <v>300</v>
      </c>
      <c r="C5" s="13">
        <v>0</v>
      </c>
      <c r="D5" s="14">
        <v>0.3</v>
      </c>
      <c r="E5" s="28" t="s">
        <v>56</v>
      </c>
      <c r="F5" t="s">
        <v>20</v>
      </c>
    </row>
    <row r="6" spans="1:6" x14ac:dyDescent="0.25">
      <c r="A6" t="s">
        <v>3</v>
      </c>
      <c r="B6" s="12">
        <v>270</v>
      </c>
      <c r="C6" s="13">
        <v>0</v>
      </c>
      <c r="D6" s="14">
        <v>0</v>
      </c>
      <c r="E6" s="28" t="s">
        <v>57</v>
      </c>
    </row>
    <row r="7" spans="1:6" x14ac:dyDescent="0.25">
      <c r="A7" t="s">
        <v>18</v>
      </c>
      <c r="B7" s="12">
        <v>0</v>
      </c>
      <c r="C7" s="13">
        <v>0</v>
      </c>
      <c r="D7" s="14">
        <v>0.36</v>
      </c>
      <c r="E7" s="28" t="s">
        <v>58</v>
      </c>
      <c r="F7" t="s">
        <v>20</v>
      </c>
    </row>
    <row r="8" spans="1:6" x14ac:dyDescent="0.25">
      <c r="A8" t="s">
        <v>14</v>
      </c>
      <c r="B8" s="26">
        <f>SUBTOTAL(109,Table2[CPU
(cores)])</f>
        <v>2990</v>
      </c>
      <c r="C8" s="13">
        <f>SUBTOTAL(109,Table2[GPU
(cards)])</f>
        <v>0</v>
      </c>
      <c r="D8" s="22">
        <f>SUBTOTAL(109,Table2[Disk
(PB)])</f>
        <v>4.76</v>
      </c>
      <c r="E8" s="27"/>
    </row>
    <row r="9" spans="1:6" x14ac:dyDescent="0.25">
      <c r="B9" s="12"/>
      <c r="C9" s="13"/>
      <c r="D9" s="14"/>
      <c r="E9" s="14"/>
    </row>
    <row r="10" spans="1:6" x14ac:dyDescent="0.25">
      <c r="A10" s="6" t="s">
        <v>26</v>
      </c>
      <c r="B10" s="15">
        <v>10163</v>
      </c>
      <c r="C10" s="16">
        <v>0.01</v>
      </c>
      <c r="D10" s="17">
        <v>8.6180000000000003</v>
      </c>
      <c r="E10" s="17"/>
      <c r="F10" s="6"/>
    </row>
    <row r="11" spans="1:6" x14ac:dyDescent="0.25">
      <c r="A11" s="6" t="s">
        <v>27</v>
      </c>
      <c r="B11" s="18">
        <f>Table2[[#Totals],[CPU
(cores)]]/B10</f>
        <v>0.29420446718488635</v>
      </c>
      <c r="C11" s="18">
        <f>Table2[[#Totals],[GPU
(cards)]]/C10</f>
        <v>0</v>
      </c>
      <c r="D11" s="18">
        <f>Table2[[#Totals],[Disk
(PB)]]/D10</f>
        <v>0.55233232768623808</v>
      </c>
      <c r="E11" s="18"/>
      <c r="F11" s="6"/>
    </row>
  </sheetData>
  <hyperlinks>
    <hyperlink ref="E2" r:id="rId1" xr:uid="{B30D23F6-FCF9-42C2-91FD-B0EA5E453CD3}"/>
    <hyperlink ref="E3" r:id="rId2" xr:uid="{8AF40574-EBAE-4D10-A136-E8EA82FCA5F0}"/>
    <hyperlink ref="E4" r:id="rId3" xr:uid="{A8416B73-89ED-4E2F-9C70-0C331DCDC07D}"/>
    <hyperlink ref="E5" r:id="rId4" xr:uid="{B3CA7C53-95B9-44F4-9628-745C376034CA}"/>
    <hyperlink ref="E6" r:id="rId5" xr:uid="{9BECC6AD-6943-43BC-84DB-3FC9C0031FAB}"/>
    <hyperlink ref="E7" r:id="rId6" xr:uid="{EBC04E9E-B90B-4F10-B722-9F3B39B5BC30}"/>
  </hyperlinks>
  <pageMargins left="0.7" right="0.7" top="0.75" bottom="0.75" header="0.3" footer="0.3"/>
  <tableParts count="1"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zoomScale="130" zoomScaleNormal="130" workbookViewId="0">
      <selection activeCell="B14" sqref="B14"/>
    </sheetView>
  </sheetViews>
  <sheetFormatPr defaultRowHeight="15" x14ac:dyDescent="0.25"/>
  <cols>
    <col min="1" max="1" width="28.28515625" bestFit="1" customWidth="1"/>
    <col min="2" max="2" width="15.28515625" bestFit="1" customWidth="1"/>
    <col min="3" max="3" width="7.42578125" bestFit="1" customWidth="1"/>
    <col min="4" max="5" width="7.7109375" bestFit="1" customWidth="1"/>
    <col min="6" max="6" width="25.7109375" bestFit="1" customWidth="1"/>
    <col min="7" max="7" width="38" customWidth="1"/>
  </cols>
  <sheetData>
    <row r="1" spans="1:7" ht="30" x14ac:dyDescent="0.25">
      <c r="A1" t="s">
        <v>70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63</v>
      </c>
      <c r="G1" t="s">
        <v>12</v>
      </c>
    </row>
    <row r="2" spans="1:7" x14ac:dyDescent="0.25">
      <c r="A2" t="s">
        <v>1</v>
      </c>
      <c r="B2" s="3">
        <v>450</v>
      </c>
      <c r="C2" s="3">
        <v>8</v>
      </c>
      <c r="D2" s="1">
        <v>0</v>
      </c>
      <c r="E2" s="2">
        <v>0</v>
      </c>
      <c r="F2" s="23" t="s">
        <v>48</v>
      </c>
      <c r="G2" s="4" t="s">
        <v>13</v>
      </c>
    </row>
    <row r="3" spans="1:7" x14ac:dyDescent="0.25">
      <c r="A3" t="s">
        <v>14</v>
      </c>
      <c r="B3" s="8">
        <f>SUBTOTAL(109,Table15[CPU
(cores)])</f>
        <v>450</v>
      </c>
      <c r="C3" s="8">
        <f>SUBTOTAL(109,Table15[GPU
(cards)])</f>
        <v>8</v>
      </c>
      <c r="D3" s="9">
        <f>SUBTOTAL(109,Table15[Disk
(PB)])</f>
        <v>0</v>
      </c>
      <c r="E3" s="10">
        <f>SUBTOTAL(109,Table15[Tape
(PB)])</f>
        <v>0</v>
      </c>
      <c r="F3" s="10"/>
    </row>
    <row r="5" spans="1:7" x14ac:dyDescent="0.25">
      <c r="A5" s="6" t="s">
        <v>26</v>
      </c>
      <c r="B5" s="6">
        <v>450</v>
      </c>
      <c r="C5" s="6">
        <v>8</v>
      </c>
      <c r="D5" s="6">
        <v>0</v>
      </c>
      <c r="E5" s="6">
        <v>0</v>
      </c>
      <c r="F5" s="6"/>
      <c r="G5" s="6"/>
    </row>
    <row r="6" spans="1:7" x14ac:dyDescent="0.25">
      <c r="A6" s="6" t="s">
        <v>27</v>
      </c>
      <c r="B6" s="7">
        <f>Table15[[#Totals],[CPU
(cores)]]/B5</f>
        <v>1</v>
      </c>
      <c r="C6" s="7">
        <f>Table15[[#Totals],[GPU
(cards)]]/C5</f>
        <v>1</v>
      </c>
      <c r="D6" s="7">
        <v>0</v>
      </c>
      <c r="E6" s="7">
        <v>0</v>
      </c>
      <c r="F6" s="7"/>
      <c r="G6" s="6"/>
    </row>
  </sheetData>
  <hyperlinks>
    <hyperlink ref="F2" r:id="rId1" xr:uid="{0C6DC230-BBEF-43C1-81AA-32D08A1B5CE6}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823BFE18AAFB418B154EDE6EC5BFDD" ma:contentTypeVersion="6" ma:contentTypeDescription="Create a new document." ma:contentTypeScope="" ma:versionID="0c39ee09aadfbd7babf453e06d4d6e88">
  <xsd:schema xmlns:xsd="http://www.w3.org/2001/XMLSchema" xmlns:xs="http://www.w3.org/2001/XMLSchema" xmlns:p="http://schemas.microsoft.com/office/2006/metadata/properties" xmlns:ns2="c8d60f1d-860d-4274-91f3-b72cc5bdf80d" xmlns:ns3="e54b9f5a-3be4-4eaf-be3d-5ffe53c56339" targetNamespace="http://schemas.microsoft.com/office/2006/metadata/properties" ma:root="true" ma:fieldsID="a78d6963e7a45cae2c390e646491267a" ns2:_="" ns3:_="">
    <xsd:import namespace="c8d60f1d-860d-4274-91f3-b72cc5bdf80d"/>
    <xsd:import namespace="e54b9f5a-3be4-4eaf-be3d-5ffe53c563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60f1d-860d-4274-91f3-b72cc5bdf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b9f5a-3be4-4eaf-be3d-5ffe53c563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4A5555-6C61-41CA-B169-0A96D970B2D6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8d60f1d-860d-4274-91f3-b72cc5bdf80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7755E6D-1D9A-4F2D-A8D2-F35F8F61F6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94536-2093-4620-B357-9EEE52B2E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RAL Cloud</vt:lpstr>
      <vt:lpstr>DiRAC</vt:lpstr>
      <vt:lpstr>GridPP</vt:lpstr>
      <vt:lpstr>SCARF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 Jackson</dc:creator>
  <cp:lastModifiedBy>Pip Jackson</cp:lastModifiedBy>
  <dcterms:created xsi:type="dcterms:W3CDTF">2021-05-04T12:55:26Z</dcterms:created>
  <dcterms:modified xsi:type="dcterms:W3CDTF">2021-06-10T06:58:47Z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0x01010008823BFE18AAFB418B154EDE6EC5BFDD</vt:lpwstr>
  </property>
</Properties>
</file>